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8800" windowHeight="16440" tabRatio="915"/>
  </bookViews>
  <sheets>
    <sheet name="G-BRGI" sheetId="1" r:id="rId1"/>
  </sheets>
  <definedNames>
    <definedName name="_xlnm.Print_Area" localSheetId="0">'G-BRGI'!$B$3:$G$28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/>
  <c r="H5" s="1"/>
  <c r="E8"/>
  <c r="E9"/>
  <c r="E10"/>
  <c r="E11"/>
  <c r="E12"/>
  <c r="E13"/>
  <c r="E15"/>
  <c r="C16"/>
  <c r="C17" s="1"/>
  <c r="C19" s="1"/>
  <c r="B29" s="1"/>
  <c r="E16" l="1"/>
  <c r="E17" s="1"/>
  <c r="H6"/>
  <c r="H7" s="1"/>
  <c r="H8" s="1"/>
  <c r="H9" s="1"/>
  <c r="H10" s="1"/>
  <c r="H11" s="1"/>
  <c r="H12" s="1"/>
  <c r="I4"/>
  <c r="J4" s="1"/>
  <c r="D17" l="1"/>
  <c r="C21" s="1"/>
  <c r="C20"/>
  <c r="I5"/>
  <c r="I6" l="1"/>
  <c r="J5"/>
  <c r="I7" l="1"/>
  <c r="J6"/>
  <c r="I8" l="1"/>
  <c r="J7"/>
  <c r="J8" l="1"/>
  <c r="I9"/>
  <c r="I10" l="1"/>
  <c r="J9"/>
  <c r="J10" l="1"/>
  <c r="I11"/>
  <c r="I12" l="1"/>
  <c r="J12" s="1"/>
  <c r="J11"/>
</calcChain>
</file>

<file path=xl/sharedStrings.xml><?xml version="1.0" encoding="utf-8"?>
<sst xmlns="http://schemas.openxmlformats.org/spreadsheetml/2006/main" count="32" uniqueCount="32">
  <si>
    <t>Empty Wgt.</t>
  </si>
  <si>
    <t>Pilot</t>
  </si>
  <si>
    <t>Front Passenger</t>
  </si>
  <si>
    <t>Passenger - Rear 1</t>
  </si>
  <si>
    <t>Passenger - Rear 2</t>
  </si>
  <si>
    <t>Weight and Balance</t>
  </si>
  <si>
    <t>G-BRGI</t>
  </si>
  <si>
    <t>PA-28-180e</t>
  </si>
  <si>
    <t>Moment</t>
  </si>
  <si>
    <t>Empty weight includes 12lbs unusable fuel and full oil</t>
  </si>
  <si>
    <t>Fuel (Litres)</t>
  </si>
  <si>
    <t>Envelope Data</t>
  </si>
  <si>
    <t>Graphing Data</t>
  </si>
  <si>
    <t>Baggage (Max 200lb)</t>
  </si>
  <si>
    <t>Centre of Gravity</t>
  </si>
  <si>
    <t>84.00" to 95.90"</t>
  </si>
  <si>
    <t>85.90" to 95.90"</t>
  </si>
  <si>
    <t>89.20" to 95.90"</t>
  </si>
  <si>
    <t>92.10" to 94.50"</t>
  </si>
  <si>
    <t xml:space="preserve">  See limits below</t>
  </si>
  <si>
    <t>At weight of 1650lbs or less</t>
  </si>
  <si>
    <t>At weight of 1975lbs or less</t>
  </si>
  <si>
    <t>At weight of 2200lbs or less</t>
  </si>
  <si>
    <t>Total Weight</t>
  </si>
  <si>
    <t>Total Moment</t>
  </si>
  <si>
    <t xml:space="preserve">  Must not exceed 2400lbs</t>
  </si>
  <si>
    <t>At weight of 2400lbs or less</t>
  </si>
  <si>
    <t>Enter your actual data into yellow shaded cells only.</t>
  </si>
  <si>
    <t>Weights in lbs, Fuel in Litres</t>
  </si>
  <si>
    <t>Weight (lbs)</t>
  </si>
  <si>
    <t>Datum (ins)</t>
  </si>
  <si>
    <t>Totals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</si>
</sst>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2">
    <font>
      <sz val="10"/>
      <name val="MS Sans Serif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5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6" fillId="2" borderId="4" xfId="0" applyFont="1" applyFill="1" applyBorder="1" applyAlignment="1" applyProtection="1">
      <alignment horizontal="center"/>
      <protection locked="0"/>
    </xf>
    <xf numFmtId="0" fontId="2" fillId="0" borderId="0" xfId="0" applyFont="1"/>
    <xf numFmtId="165" fontId="2" fillId="0" borderId="0" xfId="0" applyNumberFormat="1" applyFont="1"/>
    <xf numFmtId="164" fontId="2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2" fillId="0" borderId="4" xfId="0" applyNumberFormat="1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6" xfId="0" applyFont="1" applyBorder="1"/>
    <xf numFmtId="2" fontId="7" fillId="0" borderId="0" xfId="0" applyNumberFormat="1" applyFont="1"/>
    <xf numFmtId="2" fontId="2" fillId="0" borderId="6" xfId="0" applyNumberFormat="1" applyFont="1" applyBorder="1"/>
    <xf numFmtId="2" fontId="2" fillId="0" borderId="5" xfId="0" applyNumberFormat="1" applyFont="1" applyBorder="1"/>
    <xf numFmtId="2" fontId="2" fillId="0" borderId="0" xfId="0" applyNumberFormat="1" applyFont="1"/>
    <xf numFmtId="0" fontId="4" fillId="0" borderId="4" xfId="0" applyFont="1" applyBorder="1"/>
    <xf numFmtId="0" fontId="4" fillId="0" borderId="7" xfId="0" applyFont="1" applyBorder="1"/>
    <xf numFmtId="2" fontId="2" fillId="0" borderId="7" xfId="0" applyNumberFormat="1" applyFont="1" applyBorder="1"/>
    <xf numFmtId="2" fontId="2" fillId="0" borderId="2" xfId="0" applyNumberFormat="1" applyFont="1" applyBorder="1"/>
    <xf numFmtId="0" fontId="2" fillId="0" borderId="3" xfId="0" applyFont="1" applyBorder="1"/>
    <xf numFmtId="1" fontId="2" fillId="0" borderId="8" xfId="0" applyNumberFormat="1" applyFont="1" applyBorder="1" applyAlignment="1">
      <alignment horizontal="right"/>
    </xf>
    <xf numFmtId="0" fontId="3" fillId="0" borderId="4" xfId="0" applyFont="1" applyBorder="1"/>
    <xf numFmtId="2" fontId="2" fillId="0" borderId="1" xfId="0" applyNumberFormat="1" applyFont="1" applyBorder="1"/>
    <xf numFmtId="0" fontId="2" fillId="0" borderId="2" xfId="0" applyFont="1" applyBorder="1"/>
    <xf numFmtId="1" fontId="2" fillId="0" borderId="9" xfId="0" applyNumberFormat="1" applyFont="1" applyBorder="1" applyAlignment="1">
      <alignment horizontal="right"/>
    </xf>
    <xf numFmtId="1" fontId="2" fillId="0" borderId="1" xfId="0" applyNumberFormat="1" applyFont="1" applyBorder="1"/>
    <xf numFmtId="0" fontId="5" fillId="0" borderId="4" xfId="0" applyFont="1" applyBorder="1" applyAlignment="1">
      <alignment horizontal="center"/>
    </xf>
    <xf numFmtId="0" fontId="6" fillId="0" borderId="0" xfId="0" applyFont="1"/>
    <xf numFmtId="0" fontId="2" fillId="0" borderId="10" xfId="0" applyFont="1" applyBorder="1"/>
    <xf numFmtId="1" fontId="2" fillId="0" borderId="11" xfId="0" applyNumberFormat="1" applyFont="1" applyBorder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165" fontId="3" fillId="0" borderId="0" xfId="0" applyNumberFormat="1" applyFont="1"/>
    <xf numFmtId="1" fontId="2" fillId="0" borderId="0" xfId="0" applyNumberFormat="1" applyFont="1" applyAlignment="1">
      <alignment horizontal="right"/>
    </xf>
    <xf numFmtId="0" fontId="0" fillId="0" borderId="0" xfId="0" applyAlignment="1">
      <alignment horizontal="center" vertical="center" textRotation="90"/>
    </xf>
    <xf numFmtId="0" fontId="5" fillId="0" borderId="0" xfId="0" applyFont="1"/>
    <xf numFmtId="0" fontId="8" fillId="0" borderId="4" xfId="0" applyFont="1" applyBorder="1"/>
    <xf numFmtId="0" fontId="7" fillId="0" borderId="0" xfId="0" applyFont="1"/>
    <xf numFmtId="0" fontId="9" fillId="0" borderId="0" xfId="1" applyFont="1" applyAlignment="1">
      <alignment horizontal="center"/>
    </xf>
    <xf numFmtId="165" fontId="5" fillId="0" borderId="0" xfId="0" applyNumberFormat="1" applyFont="1"/>
    <xf numFmtId="0" fontId="10" fillId="0" borderId="0" xfId="1" applyFont="1" applyAlignment="1">
      <alignment horizontal="left"/>
    </xf>
    <xf numFmtId="0" fontId="10" fillId="0" borderId="0" xfId="1" applyFont="1"/>
    <xf numFmtId="2" fontId="2" fillId="2" borderId="1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12" xfId="0" applyBorder="1" applyAlignment="1">
      <alignment vertical="center" textRotation="90"/>
    </xf>
    <xf numFmtId="0" fontId="5" fillId="0" borderId="3" xfId="0" applyFont="1" applyBorder="1"/>
    <xf numFmtId="2" fontId="5" fillId="0" borderId="12" xfId="0" applyNumberFormat="1" applyFont="1" applyBorder="1"/>
    <xf numFmtId="0" fontId="5" fillId="0" borderId="12" xfId="0" applyFont="1" applyBorder="1"/>
    <xf numFmtId="0" fontId="7" fillId="0" borderId="8" xfId="0" applyFont="1" applyBorder="1"/>
    <xf numFmtId="0" fontId="5" fillId="0" borderId="2" xfId="0" applyFont="1" applyBorder="1"/>
    <xf numFmtId="2" fontId="5" fillId="0" borderId="0" xfId="0" applyNumberFormat="1" applyFont="1"/>
    <xf numFmtId="0" fontId="7" fillId="0" borderId="9" xfId="0" applyFont="1" applyBorder="1"/>
    <xf numFmtId="0" fontId="5" fillId="0" borderId="10" xfId="0" applyFont="1" applyBorder="1"/>
    <xf numFmtId="2" fontId="5" fillId="0" borderId="15" xfId="0" applyNumberFormat="1" applyFont="1" applyBorder="1"/>
    <xf numFmtId="0" fontId="5" fillId="0" borderId="15" xfId="0" applyFont="1" applyBorder="1"/>
    <xf numFmtId="0" fontId="5" fillId="0" borderId="11" xfId="0" applyFont="1" applyBorder="1"/>
    <xf numFmtId="0" fontId="5" fillId="0" borderId="1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5" fillId="0" borderId="13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3"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Weight &amp; Balance Envelope</a:t>
            </a:r>
          </a:p>
        </c:rich>
      </c:tx>
      <c:layout>
        <c:manualLayout>
          <c:xMode val="edge"/>
          <c:yMode val="edge"/>
          <c:x val="0.29947089947089972"/>
          <c:y val="8.2925905448259701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6853956176826221"/>
          <c:y val="0.1853547292733877"/>
          <c:w val="0.79775368433295757"/>
          <c:h val="0.67493105021336752"/>
        </c:manualLayout>
      </c:layout>
      <c:scatterChart>
        <c:scatterStyle val="lineMarker"/>
        <c:ser>
          <c:idx val="0"/>
          <c:order val="0"/>
          <c:tx>
            <c:v>Weight/Balance Envelope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'G-BRGI'!$H$14:$H$21</c:f>
              <c:numCache>
                <c:formatCode>General</c:formatCode>
                <c:ptCount val="8"/>
                <c:pt idx="0">
                  <c:v>84</c:v>
                </c:pt>
                <c:pt idx="1">
                  <c:v>84</c:v>
                </c:pt>
                <c:pt idx="2">
                  <c:v>85.8</c:v>
                </c:pt>
                <c:pt idx="3">
                  <c:v>92</c:v>
                </c:pt>
                <c:pt idx="4">
                  <c:v>94.5</c:v>
                </c:pt>
                <c:pt idx="5">
                  <c:v>95.9</c:v>
                </c:pt>
                <c:pt idx="6">
                  <c:v>95.9</c:v>
                </c:pt>
                <c:pt idx="7">
                  <c:v>84</c:v>
                </c:pt>
              </c:numCache>
            </c:numRef>
          </c:xVal>
          <c:yVal>
            <c:numRef>
              <c:f>'G-BRGI'!$I$14:$I$21</c:f>
              <c:numCache>
                <c:formatCode>0</c:formatCode>
                <c:ptCount val="8"/>
                <c:pt idx="0">
                  <c:v>1200</c:v>
                </c:pt>
                <c:pt idx="1">
                  <c:v>1660</c:v>
                </c:pt>
                <c:pt idx="2">
                  <c:v>1980</c:v>
                </c:pt>
                <c:pt idx="3">
                  <c:v>2400</c:v>
                </c:pt>
                <c:pt idx="4">
                  <c:v>2400</c:v>
                </c:pt>
                <c:pt idx="5">
                  <c:v>2200</c:v>
                </c:pt>
                <c:pt idx="6">
                  <c:v>1200</c:v>
                </c:pt>
                <c:pt idx="7">
                  <c:v>1200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0-70FF-9B4F-99C3-A6DAA9EC4CA9}"/>
            </c:ext>
          </c:extLst>
        </c:ser>
        <c:ser>
          <c:idx val="1"/>
          <c:order val="1"/>
          <c:tx>
            <c:v>Flight Data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/>
              <c:tx>
                <c:strRef>
                  <c:f>'G-BRGI'!$B$8</c:f>
                  <c:strCache>
                    <c:ptCount val="1"/>
                    <c:pt idx="0">
                      <c:v>Empty Wgt.</c:v>
                    </c:pt>
                  </c:strCache>
                </c:strRef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{26A090A4-FC10-2F4C-9F52-B3AD95DCFA2D}</c15:txfldGUID>
                      <c15:f>'G-BRGI'!$B$8</c15:f>
                      <c15:dlblFieldTableCache>
                        <c:ptCount val="1"/>
                        <c:pt idx="0">
                          <c:v>Empty Wgt.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70FF-9B4F-99C3-A6DAA9EC4CA9}"/>
                </c:ext>
              </c:extLst>
            </c:dLbl>
            <c:dLbl>
              <c:idx val="8"/>
              <c:layout>
                <c:manualLayout>
                  <c:x val="5.2083344013152894E-3"/>
                  <c:y val="-2.3269342641070389E-3"/>
                </c:manualLayout>
              </c:layout>
              <c:tx>
                <c:strRef>
                  <c:f>'G-BRGI'!$B$15</c:f>
                  <c:strCache>
                    <c:ptCount val="1"/>
                    <c:pt idx="0">
                      <c:v>Fuel (Litres)</c:v>
                    </c:pt>
                  </c:strCache>
                </c:strRef>
              </c:tx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  <a:effectLst>
                  <a:outerShdw dist="35921" dir="2700000" algn="br">
                    <a:srgbClr val="000000"/>
                  </a:outerShdw>
                </a:effectLst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extLst xmlns:c16r2="http://schemas.microsoft.com/office/drawing/2015/06/chart">
                <c:ext xmlns:c15="http://schemas.microsoft.com/office/drawing/2012/chart" uri="{CE6537A1-D6FC-4f65-9D91-7224C49458BB}">
                  <c15:dlblFieldTable>
                    <c15:dlblFTEntry>
                      <c15:txfldGUID>{A3BEE3C3-DB34-B04B-8B58-B76C271315FF}</c15:txfldGUID>
                      <c15:f>'G-BRGI'!$B$15</c15:f>
                      <c15:dlblFieldTableCache>
                        <c:ptCount val="1"/>
                        <c:pt idx="0">
                          <c:v>Fuel (Litres)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2-70FF-9B4F-99C3-A6DAA9EC4CA9}"/>
                </c:ext>
              </c:extLst>
            </c:dLbl>
            <c:delete val="1"/>
            <c:spPr>
              <a:noFill/>
              <a:ln>
                <a:noFill/>
              </a:ln>
              <a:effectLst/>
            </c:spP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'G-BRGI'!$J$4:$J$12</c:f>
              <c:numCache>
                <c:formatCode>0.00</c:formatCode>
                <c:ptCount val="9"/>
                <c:pt idx="0">
                  <c:v>86.55</c:v>
                </c:pt>
                <c:pt idx="1">
                  <c:v>86.434049079754601</c:v>
                </c:pt>
                <c:pt idx="2">
                  <c:v>86.341160220994482</c:v>
                </c:pt>
                <c:pt idx="3">
                  <c:v>89.067929292929293</c:v>
                </c:pt>
                <c:pt idx="4">
                  <c:v>91.363488372093016</c:v>
                </c:pt>
                <c:pt idx="5">
                  <c:v>92.071330275229357</c:v>
                </c:pt>
                <c:pt idx="6">
                  <c:v>92.071330275229357</c:v>
                </c:pt>
                <c:pt idx="7">
                  <c:v>92.071330275229357</c:v>
                </c:pt>
                <c:pt idx="8">
                  <c:v>92.324093012339048</c:v>
                </c:pt>
              </c:numCache>
            </c:numRef>
          </c:xVal>
          <c:yVal>
            <c:numRef>
              <c:f>'G-BRGI'!$H$4:$H$12</c:f>
              <c:numCache>
                <c:formatCode>0.00</c:formatCode>
                <c:ptCount val="9"/>
                <c:pt idx="0">
                  <c:v>1450</c:v>
                </c:pt>
                <c:pt idx="1">
                  <c:v>1630</c:v>
                </c:pt>
                <c:pt idx="2">
                  <c:v>1810</c:v>
                </c:pt>
                <c:pt idx="3">
                  <c:v>1980</c:v>
                </c:pt>
                <c:pt idx="4">
                  <c:v>2150</c:v>
                </c:pt>
                <c:pt idx="5">
                  <c:v>2180</c:v>
                </c:pt>
                <c:pt idx="6">
                  <c:v>2180</c:v>
                </c:pt>
                <c:pt idx="7">
                  <c:v>2180</c:v>
                </c:pt>
                <c:pt idx="8">
                  <c:v>2385.92</c:v>
                </c:pt>
              </c:numCache>
            </c:numRef>
          </c:yVal>
          <c:extLst xmlns:c16r2="http://schemas.microsoft.com/office/drawing/2015/06/chart">
            <c:ext xmlns:c16="http://schemas.microsoft.com/office/drawing/2014/chart" uri="{C3380CC4-5D6E-409C-BE32-E72D297353CC}">
              <c16:uniqueId val="{00000003-70FF-9B4F-99C3-A6DAA9EC4CA9}"/>
            </c:ext>
          </c:extLst>
        </c:ser>
        <c:dLbls/>
        <c:axId val="169039744"/>
        <c:axId val="169054208"/>
      </c:scatterChart>
      <c:valAx>
        <c:axId val="169039744"/>
        <c:scaling>
          <c:orientation val="minMax"/>
          <c:max val="97"/>
          <c:min val="82"/>
        </c:scaling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Datum (inches)</a:t>
                </a:r>
              </a:p>
            </c:rich>
          </c:tx>
          <c:layout>
            <c:manualLayout>
              <c:xMode val="edge"/>
              <c:yMode val="edge"/>
              <c:x val="0.44576930603899645"/>
              <c:y val="0.9157344324592997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054208"/>
        <c:crosses val="autoZero"/>
        <c:crossBetween val="midCat"/>
        <c:majorUnit val="2"/>
      </c:valAx>
      <c:valAx>
        <c:axId val="169054208"/>
        <c:scaling>
          <c:orientation val="minMax"/>
          <c:min val="1200"/>
        </c:scaling>
        <c:axPos val="l"/>
        <c:title>
          <c:tx>
            <c:rich>
              <a:bodyPr rot="0" vert="wordArtVert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Gross Weight</a:t>
                </a:r>
              </a:p>
            </c:rich>
          </c:tx>
          <c:layout>
            <c:manualLayout>
              <c:xMode val="edge"/>
              <c:yMode val="edge"/>
              <c:x val="2.3894196425655611E-2"/>
              <c:y val="0.33557246717568484"/>
            </c:manualLayout>
          </c:layout>
          <c:spPr>
            <a:noFill/>
            <a:ln w="25400">
              <a:noFill/>
            </a:ln>
          </c:spPr>
        </c:title>
        <c:numFmt formatCode="0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9039744"/>
        <c:crosses val="autoZero"/>
        <c:crossBetween val="midCat"/>
      </c:valAx>
      <c:spPr>
        <a:noFill/>
        <a:ln w="25400">
          <a:noFill/>
        </a:ln>
      </c:spPr>
    </c:plotArea>
    <c:dispBlanksAs val="gap"/>
  </c:chart>
  <c:spPr>
    <a:solidFill>
      <a:srgbClr val="C0C0C0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&amp;F</c:oddHeader>
      <c:oddFooter>Page &amp;P</c:oddFooter>
    </c:headerFooter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1</xdr:row>
      <xdr:rowOff>114299</xdr:rowOff>
    </xdr:from>
    <xdr:to>
      <xdr:col>13</xdr:col>
      <xdr:colOff>85724</xdr:colOff>
      <xdr:row>34</xdr:row>
      <xdr:rowOff>142874</xdr:rowOff>
    </xdr:to>
    <xdr:graphicFrame macro="">
      <xdr:nvGraphicFramePr>
        <xdr:cNvPr id="1027" name="Chart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447674</xdr:colOff>
      <xdr:row>1</xdr:row>
      <xdr:rowOff>95250</xdr:rowOff>
    </xdr:from>
    <xdr:to>
      <xdr:col>13</xdr:col>
      <xdr:colOff>114300</xdr:colOff>
      <xdr:row>34</xdr:row>
      <xdr:rowOff>152400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447674" y="257175"/>
          <a:ext cx="9248776" cy="4914900"/>
        </a:xfrm>
        <a:prstGeom prst="rect">
          <a:avLst/>
        </a:prstGeom>
        <a:noFill/>
        <a:ln w="1587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3"/>
  <sheetViews>
    <sheetView showGridLines="0" tabSelected="1" workbookViewId="0">
      <selection activeCell="B16" sqref="B16"/>
    </sheetView>
  </sheetViews>
  <sheetFormatPr defaultColWidth="9.140625" defaultRowHeight="12.75"/>
  <cols>
    <col min="2" max="2" width="20.140625" customWidth="1"/>
    <col min="3" max="3" width="13.42578125" customWidth="1"/>
    <col min="4" max="4" width="11.85546875" customWidth="1"/>
    <col min="5" max="5" width="15.140625" customWidth="1"/>
    <col min="6" max="6" width="3.85546875" customWidth="1"/>
    <col min="7" max="7" width="18" customWidth="1"/>
    <col min="8" max="8" width="9.5703125" customWidth="1"/>
    <col min="9" max="9" width="13.140625" customWidth="1"/>
    <col min="10" max="11" width="9.85546875" customWidth="1"/>
  </cols>
  <sheetData>
    <row r="2" spans="2:11" ht="12.75" customHeight="1"/>
    <row r="3" spans="2:11" ht="12.75" customHeight="1">
      <c r="B3" s="2"/>
      <c r="C3" s="2"/>
      <c r="D3" s="3"/>
      <c r="E3" s="2"/>
      <c r="F3" s="2"/>
      <c r="G3" s="2"/>
      <c r="H3" s="2"/>
      <c r="I3" s="4"/>
    </row>
    <row r="4" spans="2:11" ht="12.75" customHeight="1">
      <c r="B4" s="5" t="s">
        <v>5</v>
      </c>
      <c r="C4" s="61" t="s">
        <v>6</v>
      </c>
      <c r="D4" s="61"/>
      <c r="E4" s="6" t="s">
        <v>7</v>
      </c>
      <c r="F4" s="7"/>
      <c r="H4" s="8">
        <f>IF(C8="","",C8)</f>
        <v>1450</v>
      </c>
      <c r="I4" s="8">
        <f>IF(E8="","",E8)</f>
        <v>125497.5</v>
      </c>
      <c r="J4" s="8">
        <f>IF(I4="","",IF(H4="","",IF(H4=0,"",I4/H4)))</f>
        <v>86.55</v>
      </c>
      <c r="K4" s="62" t="s">
        <v>12</v>
      </c>
    </row>
    <row r="5" spans="2:11" ht="12.75" customHeight="1">
      <c r="B5" s="2"/>
      <c r="C5" s="2"/>
      <c r="D5" s="3"/>
      <c r="E5" s="2"/>
      <c r="F5" s="2"/>
      <c r="G5" s="2"/>
      <c r="H5" s="8">
        <f t="shared" ref="H5:H12" si="0">IF(H4="","",IF(C9="",H4,H4+C9))</f>
        <v>1630</v>
      </c>
      <c r="I5" s="8">
        <f t="shared" ref="I5:I12" si="1">IF(I4="","",IF(E9="",I4,I4+E9))</f>
        <v>140887.5</v>
      </c>
      <c r="J5" s="8">
        <f t="shared" ref="J5:J12" si="2">IF(I5="",J4,IF(H5="",J4,IF(H5=0,J4,I5/H5)))</f>
        <v>86.434049079754601</v>
      </c>
      <c r="K5" s="63"/>
    </row>
    <row r="6" spans="2:11" ht="12.75" customHeight="1">
      <c r="B6" s="2"/>
      <c r="C6" s="2"/>
      <c r="D6" s="3"/>
      <c r="E6" s="2"/>
      <c r="F6" s="2"/>
      <c r="G6" s="2"/>
      <c r="H6" s="8">
        <f t="shared" si="0"/>
        <v>1810</v>
      </c>
      <c r="I6" s="8">
        <f t="shared" si="1"/>
        <v>156277.5</v>
      </c>
      <c r="J6" s="8">
        <f t="shared" si="2"/>
        <v>86.341160220994482</v>
      </c>
      <c r="K6" s="63"/>
    </row>
    <row r="7" spans="2:11" ht="12.75" customHeight="1">
      <c r="C7" s="58" t="s">
        <v>29</v>
      </c>
      <c r="D7" s="59" t="s">
        <v>30</v>
      </c>
      <c r="E7" s="9" t="s">
        <v>8</v>
      </c>
      <c r="F7" s="10"/>
      <c r="G7" s="2"/>
      <c r="H7" s="8">
        <f t="shared" si="0"/>
        <v>1980</v>
      </c>
      <c r="I7" s="8">
        <f t="shared" si="1"/>
        <v>176354.5</v>
      </c>
      <c r="J7" s="8">
        <f t="shared" si="2"/>
        <v>89.067929292929293</v>
      </c>
      <c r="K7" s="63"/>
    </row>
    <row r="8" spans="2:11" ht="12.75" customHeight="1">
      <c r="B8" s="11" t="s">
        <v>0</v>
      </c>
      <c r="C8" s="12">
        <v>1450</v>
      </c>
      <c r="D8" s="13">
        <v>86.55</v>
      </c>
      <c r="E8" s="14">
        <f t="shared" ref="E8:E13" si="3">IF(D8="","",IF(C8="","",D8*C8))</f>
        <v>125497.5</v>
      </c>
      <c r="F8" s="15"/>
      <c r="H8" s="8">
        <f t="shared" si="0"/>
        <v>2150</v>
      </c>
      <c r="I8" s="8">
        <f t="shared" si="1"/>
        <v>196431.5</v>
      </c>
      <c r="J8" s="8">
        <f t="shared" si="2"/>
        <v>91.363488372093016</v>
      </c>
      <c r="K8" s="63"/>
    </row>
    <row r="9" spans="2:11" ht="12.75" customHeight="1">
      <c r="B9" s="16" t="s">
        <v>1</v>
      </c>
      <c r="C9" s="43">
        <v>180</v>
      </c>
      <c r="D9" s="8">
        <v>85.5</v>
      </c>
      <c r="E9" s="14">
        <f t="shared" si="3"/>
        <v>15390</v>
      </c>
      <c r="F9" s="15"/>
      <c r="H9" s="8">
        <f t="shared" si="0"/>
        <v>2180</v>
      </c>
      <c r="I9" s="8">
        <f t="shared" si="1"/>
        <v>200715.5</v>
      </c>
      <c r="J9" s="8">
        <f t="shared" si="2"/>
        <v>92.071330275229357</v>
      </c>
      <c r="K9" s="63"/>
    </row>
    <row r="10" spans="2:11" ht="12.75" customHeight="1">
      <c r="B10" s="17" t="s">
        <v>2</v>
      </c>
      <c r="C10" s="44">
        <v>180</v>
      </c>
      <c r="D10" s="18">
        <v>85.5</v>
      </c>
      <c r="E10" s="14">
        <f t="shared" si="3"/>
        <v>15390</v>
      </c>
      <c r="F10" s="15"/>
      <c r="H10" s="8">
        <f t="shared" si="0"/>
        <v>2180</v>
      </c>
      <c r="I10" s="8">
        <f t="shared" si="1"/>
        <v>200715.5</v>
      </c>
      <c r="J10" s="8">
        <f t="shared" si="2"/>
        <v>92.071330275229357</v>
      </c>
      <c r="K10" s="63"/>
    </row>
    <row r="11" spans="2:11" ht="12.75" customHeight="1">
      <c r="B11" s="16" t="s">
        <v>3</v>
      </c>
      <c r="C11" s="43">
        <v>170</v>
      </c>
      <c r="D11" s="8">
        <v>118.1</v>
      </c>
      <c r="E11" s="14">
        <f t="shared" si="3"/>
        <v>20077</v>
      </c>
      <c r="F11" s="15"/>
      <c r="H11" s="8">
        <f t="shared" si="0"/>
        <v>2180</v>
      </c>
      <c r="I11" s="8">
        <f t="shared" si="1"/>
        <v>200715.5</v>
      </c>
      <c r="J11" s="8">
        <f t="shared" si="2"/>
        <v>92.071330275229357</v>
      </c>
      <c r="K11" s="63"/>
    </row>
    <row r="12" spans="2:11" ht="12.75" customHeight="1">
      <c r="B12" s="17" t="s">
        <v>4</v>
      </c>
      <c r="C12" s="45">
        <v>170</v>
      </c>
      <c r="D12" s="18">
        <v>118.1</v>
      </c>
      <c r="E12" s="14">
        <f t="shared" si="3"/>
        <v>20077</v>
      </c>
      <c r="F12" s="15"/>
      <c r="H12" s="8">
        <f t="shared" si="0"/>
        <v>2385.92</v>
      </c>
      <c r="I12" s="8">
        <f t="shared" si="1"/>
        <v>220277.9</v>
      </c>
      <c r="J12" s="8">
        <f t="shared" si="2"/>
        <v>92.324093012339048</v>
      </c>
      <c r="K12" s="64"/>
    </row>
    <row r="13" spans="2:11" ht="12.75" customHeight="1">
      <c r="B13" s="37" t="s">
        <v>13</v>
      </c>
      <c r="C13" s="43">
        <v>30</v>
      </c>
      <c r="D13" s="8">
        <v>142.80000000000001</v>
      </c>
      <c r="E13" s="14">
        <f t="shared" si="3"/>
        <v>4284</v>
      </c>
      <c r="F13" s="15"/>
      <c r="H13" s="2"/>
      <c r="I13" s="4"/>
    </row>
    <row r="14" spans="2:11" ht="12.75" customHeight="1">
      <c r="B14" s="17"/>
      <c r="C14" s="19"/>
      <c r="D14" s="18"/>
      <c r="E14" s="14"/>
      <c r="F14" s="15"/>
      <c r="H14" s="20">
        <v>84</v>
      </c>
      <c r="I14" s="21">
        <v>1200</v>
      </c>
      <c r="J14" s="62" t="s">
        <v>11</v>
      </c>
    </row>
    <row r="15" spans="2:11" ht="12.75" customHeight="1">
      <c r="B15" s="22" t="s">
        <v>10</v>
      </c>
      <c r="C15" s="23"/>
      <c r="D15" s="8"/>
      <c r="E15" s="14" t="str">
        <f>IF(D15="","",IF(C15="","",D15*C15))</f>
        <v/>
      </c>
      <c r="F15" s="15"/>
      <c r="H15" s="24">
        <v>84</v>
      </c>
      <c r="I15" s="25">
        <v>1660</v>
      </c>
      <c r="J15" s="63"/>
    </row>
    <row r="16" spans="2:11" ht="12.75" customHeight="1">
      <c r="B16" s="1">
        <v>130</v>
      </c>
      <c r="C16" s="26">
        <f>SUM(B16*1.584)</f>
        <v>205.92000000000002</v>
      </c>
      <c r="D16" s="8">
        <v>95</v>
      </c>
      <c r="E16" s="14">
        <f>IF(D16="","",IF(C16="","",D16*C16))</f>
        <v>19562.400000000001</v>
      </c>
      <c r="F16" s="15"/>
      <c r="H16" s="24">
        <v>85.8</v>
      </c>
      <c r="I16" s="25">
        <v>1980</v>
      </c>
      <c r="J16" s="63"/>
    </row>
    <row r="17" spans="1:10" ht="12.75" customHeight="1">
      <c r="B17" s="27" t="s">
        <v>31</v>
      </c>
      <c r="C17" s="23">
        <f>SUM(C8:C16)</f>
        <v>2385.92</v>
      </c>
      <c r="D17" s="8">
        <f>IF(C17=0,"",IF(C17="","",E17/C17))</f>
        <v>92.324093012339048</v>
      </c>
      <c r="E17" s="8">
        <f>SUM(E8:E16)</f>
        <v>220277.9</v>
      </c>
      <c r="F17" s="15"/>
      <c r="G17" s="2"/>
      <c r="H17" s="24">
        <v>92</v>
      </c>
      <c r="I17" s="25">
        <v>2400</v>
      </c>
      <c r="J17" s="63"/>
    </row>
    <row r="18" spans="1:10" ht="12.75" customHeight="1">
      <c r="A18" s="38"/>
      <c r="B18" s="36"/>
      <c r="C18" s="36"/>
      <c r="D18" s="40"/>
      <c r="E18" s="36"/>
      <c r="F18" s="36"/>
      <c r="G18" s="38"/>
      <c r="H18" s="24">
        <v>94.5</v>
      </c>
      <c r="I18" s="25">
        <v>2400</v>
      </c>
      <c r="J18" s="63"/>
    </row>
    <row r="19" spans="1:10" ht="12.75" customHeight="1">
      <c r="A19" s="38"/>
      <c r="B19" s="47" t="s">
        <v>23</v>
      </c>
      <c r="C19" s="48">
        <f>C17</f>
        <v>2385.92</v>
      </c>
      <c r="D19" s="49" t="s">
        <v>25</v>
      </c>
      <c r="E19" s="50"/>
      <c r="F19" s="38"/>
      <c r="G19" s="36"/>
      <c r="H19" s="24">
        <v>95.9</v>
      </c>
      <c r="I19" s="25">
        <v>2200</v>
      </c>
      <c r="J19" s="63"/>
    </row>
    <row r="20" spans="1:10" ht="12.75" customHeight="1">
      <c r="A20" s="38"/>
      <c r="B20" s="51" t="s">
        <v>24</v>
      </c>
      <c r="C20" s="52">
        <f>E17</f>
        <v>220277.9</v>
      </c>
      <c r="D20" s="36"/>
      <c r="E20" s="53"/>
      <c r="F20" s="38"/>
      <c r="G20" s="36"/>
      <c r="H20" s="24">
        <v>95.9</v>
      </c>
      <c r="I20" s="25">
        <v>1200</v>
      </c>
      <c r="J20" s="63"/>
    </row>
    <row r="21" spans="1:10" ht="12.75" customHeight="1">
      <c r="A21" s="38"/>
      <c r="B21" s="54" t="s">
        <v>14</v>
      </c>
      <c r="C21" s="55">
        <f>D17</f>
        <v>92.324093012339048</v>
      </c>
      <c r="D21" s="56" t="s">
        <v>19</v>
      </c>
      <c r="E21" s="57"/>
      <c r="F21" s="36"/>
      <c r="G21" s="36"/>
      <c r="H21" s="29">
        <v>84</v>
      </c>
      <c r="I21" s="30">
        <v>1200</v>
      </c>
      <c r="J21" s="64"/>
    </row>
    <row r="22" spans="1:10" ht="12.75" customHeight="1">
      <c r="A22" s="38"/>
      <c r="F22" s="38"/>
      <c r="G22" s="36"/>
      <c r="J22" s="46"/>
    </row>
    <row r="23" spans="1:10" ht="12.75" customHeight="1">
      <c r="A23" s="38"/>
      <c r="B23" s="41" t="s">
        <v>20</v>
      </c>
      <c r="C23" s="38"/>
      <c r="D23" s="42" t="s">
        <v>15</v>
      </c>
      <c r="E23" s="42"/>
      <c r="F23" s="38"/>
      <c r="G23" s="36"/>
      <c r="H23" s="2"/>
      <c r="I23" s="34"/>
      <c r="J23" s="35"/>
    </row>
    <row r="24" spans="1:10" ht="12.75" customHeight="1">
      <c r="A24" s="38"/>
      <c r="B24" s="41" t="s">
        <v>21</v>
      </c>
      <c r="C24" s="38"/>
      <c r="D24" s="42" t="s">
        <v>16</v>
      </c>
      <c r="E24" s="42"/>
      <c r="F24" s="38"/>
      <c r="G24" s="36"/>
      <c r="H24" s="2"/>
      <c r="I24" s="34"/>
      <c r="J24" s="35"/>
    </row>
    <row r="25" spans="1:10" ht="12.75" customHeight="1">
      <c r="A25" s="38"/>
      <c r="B25" s="41" t="s">
        <v>22</v>
      </c>
      <c r="C25" s="38"/>
      <c r="D25" s="42" t="s">
        <v>17</v>
      </c>
      <c r="E25" s="42"/>
      <c r="F25" s="36"/>
      <c r="G25" s="36"/>
    </row>
    <row r="26" spans="1:10" ht="12.75" customHeight="1">
      <c r="A26" s="38"/>
      <c r="B26" s="41" t="s">
        <v>26</v>
      </c>
      <c r="C26" s="36"/>
      <c r="D26" s="42" t="s">
        <v>18</v>
      </c>
      <c r="E26" s="42"/>
      <c r="F26" s="36"/>
      <c r="G26" s="36"/>
      <c r="H26" s="60"/>
      <c r="I26" s="60"/>
    </row>
    <row r="27" spans="1:10">
      <c r="B27" s="31"/>
      <c r="G27" s="31"/>
    </row>
    <row r="28" spans="1:10">
      <c r="G28" s="31"/>
    </row>
    <row r="29" spans="1:10" ht="19.5">
      <c r="B29" s="65" t="str">
        <f>IF($C$19&gt;2400,"OVERWEIGHT _ DO NOT FLY","")</f>
        <v/>
      </c>
      <c r="C29" s="65"/>
      <c r="D29" s="65"/>
      <c r="E29" s="65"/>
      <c r="G29" s="31"/>
      <c r="H29" s="31"/>
      <c r="I29" s="32"/>
    </row>
    <row r="30" spans="1:10">
      <c r="G30" s="31"/>
      <c r="H30" s="31"/>
      <c r="I30" s="32"/>
    </row>
    <row r="31" spans="1:10">
      <c r="B31" s="36" t="s">
        <v>27</v>
      </c>
      <c r="G31" s="31"/>
      <c r="H31" s="31"/>
      <c r="I31" s="32"/>
    </row>
    <row r="32" spans="1:10">
      <c r="B32" s="36" t="s">
        <v>28</v>
      </c>
      <c r="G32" s="31"/>
      <c r="H32" s="31"/>
      <c r="I32" s="32"/>
    </row>
    <row r="33" spans="2:9">
      <c r="B33" s="28" t="s">
        <v>9</v>
      </c>
      <c r="G33" s="31"/>
      <c r="H33" s="31"/>
      <c r="I33" s="32"/>
    </row>
    <row r="34" spans="2:9">
      <c r="G34" s="31"/>
      <c r="H34" s="31"/>
      <c r="I34" s="32"/>
    </row>
    <row r="35" spans="2:9">
      <c r="B35" s="31"/>
      <c r="G35" s="31"/>
      <c r="H35" s="31"/>
      <c r="I35" s="32"/>
    </row>
    <row r="36" spans="2:9">
      <c r="C36" s="31"/>
      <c r="D36" s="33"/>
      <c r="E36" s="31"/>
      <c r="F36" s="31"/>
      <c r="G36" s="31"/>
      <c r="H36" s="31"/>
      <c r="I36" s="32"/>
    </row>
    <row r="37" spans="2:9">
      <c r="C37" s="31"/>
      <c r="D37" s="33"/>
      <c r="E37" s="31"/>
      <c r="F37" s="31"/>
      <c r="G37" s="31"/>
      <c r="H37" s="31"/>
      <c r="I37" s="32"/>
    </row>
    <row r="38" spans="2:9">
      <c r="C38" s="31"/>
      <c r="D38" s="33"/>
      <c r="E38" s="31"/>
      <c r="F38" s="31"/>
      <c r="G38" s="31"/>
      <c r="H38" s="31"/>
      <c r="I38" s="32"/>
    </row>
    <row r="39" spans="2:9">
      <c r="C39" s="39"/>
      <c r="F39" s="31"/>
      <c r="G39" s="31"/>
      <c r="H39" s="31"/>
      <c r="I39" s="32"/>
    </row>
    <row r="40" spans="2:9">
      <c r="C40" s="39"/>
      <c r="F40" s="31"/>
      <c r="G40" s="31"/>
      <c r="H40" s="31"/>
      <c r="I40" s="32"/>
    </row>
    <row r="41" spans="2:9">
      <c r="C41" s="39"/>
    </row>
    <row r="42" spans="2:9">
      <c r="C42" s="39"/>
    </row>
    <row r="43" spans="2:9">
      <c r="B43" s="28"/>
      <c r="C43" s="28"/>
      <c r="D43" s="28"/>
      <c r="E43" s="28"/>
    </row>
  </sheetData>
  <sheetProtection sheet="1" objects="1" scenarios="1" selectLockedCells="1"/>
  <mergeCells count="5">
    <mergeCell ref="H26:I26"/>
    <mergeCell ref="C4:D4"/>
    <mergeCell ref="K4:K12"/>
    <mergeCell ref="J14:J21"/>
    <mergeCell ref="B29:E29"/>
  </mergeCells>
  <phoneticPr fontId="0" type="noConversion"/>
  <conditionalFormatting sqref="C19">
    <cfRule type="cellIs" dxfId="2" priority="4" operator="greaterThan">
      <formula>2400</formula>
    </cfRule>
  </conditionalFormatting>
  <conditionalFormatting sqref="E20">
    <cfRule type="cellIs" dxfId="1" priority="5" operator="greaterThan">
      <formula>222677.37</formula>
    </cfRule>
  </conditionalFormatting>
  <conditionalFormatting sqref="B29">
    <cfRule type="expression" dxfId="0" priority="1">
      <formula>$C$19&gt;2400</formula>
    </cfRule>
  </conditionalFormatting>
  <printOptions horizontalCentered="1" verticalCentered="1"/>
  <pageMargins left="0.19685039370078741" right="0.15748031496062992" top="0.19685039370078741" bottom="0.19685039370078741" header="0" footer="0.19685039370078741"/>
  <pageSetup scale="128" orientation="landscape" r:id="rId1"/>
  <headerFooter alignWithMargins="0">
    <oddFooter>&amp;L&amp;"Times New Roman,Regular"&amp;A&amp;C&amp;D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G-BRGI</vt:lpstr>
      <vt:lpstr>'G-BRGI'!Print_Area</vt:lpstr>
    </vt:vector>
  </TitlesOfParts>
  <Company>Clear Sky Aviation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Weight and balance calculator for G-BRGI</dc:title>
  <dc:creator>Bob Buckfield</dc:creator>
  <cp:lastModifiedBy>Bob Buckfield</cp:lastModifiedBy>
  <cp:lastPrinted>2004-06-09T19:27:10Z</cp:lastPrinted>
  <dcterms:created xsi:type="dcterms:W3CDTF">2003-12-20T23:37:11Z</dcterms:created>
  <dcterms:modified xsi:type="dcterms:W3CDTF">2026-07-13T16:42:45Z</dcterms:modified>
</cp:coreProperties>
</file>